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995" windowHeight="13290" activeTab="0"/>
  </bookViews>
  <sheets>
    <sheet name="Requirements" sheetId="1" r:id="rId1"/>
    <sheet name="Sheet1" sheetId="2" state="hidden" r:id="rId2"/>
  </sheets>
  <definedNames/>
  <calcPr fullCalcOnLoad="1"/>
</workbook>
</file>

<file path=xl/sharedStrings.xml><?xml version="1.0" encoding="utf-8"?>
<sst xmlns="http://schemas.openxmlformats.org/spreadsheetml/2006/main" count="98" uniqueCount="81">
  <si>
    <t>Unit</t>
  </si>
  <si>
    <t>V</t>
  </si>
  <si>
    <t>DIOM</t>
  </si>
  <si>
    <t>I Min Idle</t>
  </si>
  <si>
    <t>I min Reading</t>
  </si>
  <si>
    <t>Imax</t>
  </si>
  <si>
    <t>I Max Reading</t>
  </si>
  <si>
    <t>I Max Idle</t>
  </si>
  <si>
    <t>I Typical Idle (Loaded)</t>
  </si>
  <si>
    <t>I Typical Reading (Loaded)</t>
  </si>
  <si>
    <t>EIM</t>
  </si>
  <si>
    <t>Controller Source</t>
  </si>
  <si>
    <t>PCI</t>
  </si>
  <si>
    <t>USB</t>
  </si>
  <si>
    <t>RS232</t>
  </si>
  <si>
    <t>DIM</t>
  </si>
  <si>
    <t>PSIM</t>
  </si>
  <si>
    <t>CableType</t>
  </si>
  <si>
    <t>R/M</t>
  </si>
  <si>
    <t>Output Impedance</t>
  </si>
  <si>
    <t>Vout</t>
  </si>
  <si>
    <t>Notes</t>
  </si>
  <si>
    <t>Note</t>
  </si>
  <si>
    <t>To work out the Exact DIOM power requirements take the minimim reading value + 8 * the maximum source/sync current you require on a pin</t>
  </si>
  <si>
    <t>The Exact power requirement is the Minimum Read Current + the encoder drive current.</t>
  </si>
  <si>
    <t>May vary slightly with DIM devices Connected</t>
  </si>
  <si>
    <t>AIM - PT100</t>
  </si>
  <si>
    <t>AIM 4-20 mA</t>
  </si>
  <si>
    <t>AIM Voltage</t>
  </si>
  <si>
    <t>Vsupply</t>
  </si>
  <si>
    <t>Rcable</t>
  </si>
  <si>
    <t>Min V</t>
  </si>
  <si>
    <t>Sum Of Current Reqirement</t>
  </si>
  <si>
    <t>Cable Rpm</t>
  </si>
  <si>
    <t>Cable Length</t>
  </si>
  <si>
    <t>Effective R of modules</t>
  </si>
  <si>
    <t>Max Load resistance at end of cable</t>
  </si>
  <si>
    <t>Max Current Drawable from Supply (A)</t>
  </si>
  <si>
    <t>Happy Light</t>
  </si>
  <si>
    <t>Controller</t>
  </si>
  <si>
    <t>This controller requires a PSIM as power is not supplied down RS232</t>
  </si>
  <si>
    <t>Controller:</t>
  </si>
  <si>
    <t>Supply I Max</t>
  </si>
  <si>
    <t>Requires PSIM</t>
  </si>
  <si>
    <t>Yes</t>
  </si>
  <si>
    <t>No</t>
  </si>
  <si>
    <t xml:space="preserve"> </t>
  </si>
  <si>
    <t>High Speed Capable</t>
  </si>
  <si>
    <t>Dynamic Capable</t>
  </si>
  <si>
    <t>Preferred PSIM if Required:</t>
  </si>
  <si>
    <t>5V PSIM</t>
  </si>
  <si>
    <t>AC PSIM</t>
  </si>
  <si>
    <t>DC PSIM</t>
  </si>
  <si>
    <t>Output V</t>
  </si>
  <si>
    <t>Modules Required</t>
  </si>
  <si>
    <t>Module</t>
  </si>
  <si>
    <t>Num Required</t>
  </si>
  <si>
    <t>Typical Load Current for 1 Module</t>
  </si>
  <si>
    <t>Total Current Required</t>
  </si>
  <si>
    <t>Cables</t>
  </si>
  <si>
    <t>Cable Type:</t>
  </si>
  <si>
    <t>Required Length:</t>
  </si>
  <si>
    <t>Total Cable Resistance:</t>
  </si>
  <si>
    <t>Start V</t>
  </si>
  <si>
    <t>-</t>
  </si>
  <si>
    <t>Ohms</t>
  </si>
  <si>
    <t>Meters</t>
  </si>
  <si>
    <t>Max I inc Vdrop</t>
  </si>
  <si>
    <t>Required Number of PSIMS:</t>
  </si>
  <si>
    <t>Required Num PSIMS</t>
  </si>
  <si>
    <t>Max Current from controller allowing a max Volt Drop to 4.75V:</t>
  </si>
  <si>
    <t>Total:</t>
  </si>
  <si>
    <t>DP (Includes all displacement modules)</t>
  </si>
  <si>
    <t>LE-EIM</t>
  </si>
  <si>
    <t>LE</t>
  </si>
  <si>
    <t>Controller Requires PSIM</t>
  </si>
  <si>
    <t>Orbit Cable (804731-xxx)</t>
  </si>
  <si>
    <t>Though the PCI Card can supply up to 31 probes that is only if the computer is build to the pci specifications correctly with regards power therefore we recommend people only draw 1000mA from the card to ensure it works correctly</t>
  </si>
  <si>
    <t>(This assumes ambient temperature not greater than 40degC, See PSIM section of the orbit system manual for derating)</t>
  </si>
  <si>
    <t>Yellow cells can be changed</t>
  </si>
  <si>
    <t>Orbit Cable (006869)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</si>
</sst>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sz val="8"/>
      <name val="Arial"/>
      <family val="0"/>
    </font>
    <font>
      <b/>
      <sz val="10"/>
      <name val="Arial"/>
      <family val="2"/>
    </font>
    <font>
      <b/>
      <i/>
      <sz val="10"/>
      <color indexed="10"/>
      <name val="Arial"/>
      <family val="2"/>
    </font>
    <font>
      <b/>
      <sz val="16"/>
      <name val="Arial"/>
      <family val="2"/>
    </font>
    <font>
      <sz val="8"/>
      <name val="Tahoma"/>
      <family val="2"/>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2" fillId="0" borderId="0" xfId="0" applyFont="1" applyAlignment="1">
      <alignment wrapText="1"/>
    </xf>
    <xf numFmtId="0" fontId="0" fillId="0" borderId="0" xfId="0" applyAlignment="1" quotePrefix="1">
      <alignment/>
    </xf>
    <xf numFmtId="0" fontId="0" fillId="0" borderId="0" xfId="0" applyAlignment="1">
      <alignment/>
    </xf>
    <xf numFmtId="0" fontId="0" fillId="0" borderId="0" xfId="0" applyAlignment="1" quotePrefix="1">
      <alignment/>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wrapText="1"/>
      <protection/>
    </xf>
    <xf numFmtId="0" fontId="2" fillId="0" borderId="0" xfId="0" applyFont="1" applyAlignment="1" applyProtection="1">
      <alignment wrapText="1"/>
      <protection/>
    </xf>
    <xf numFmtId="0" fontId="0" fillId="0" borderId="1" xfId="0" applyBorder="1" applyAlignment="1" applyProtection="1">
      <alignment/>
      <protection/>
    </xf>
    <xf numFmtId="0" fontId="2" fillId="0" borderId="1" xfId="0" applyFont="1" applyBorder="1" applyAlignment="1" applyProtection="1">
      <alignment/>
      <protection/>
    </xf>
    <xf numFmtId="0" fontId="2" fillId="0" borderId="0" xfId="0" applyFont="1" applyAlignment="1" applyProtection="1">
      <alignment horizontal="left"/>
      <protection/>
    </xf>
    <xf numFmtId="0" fontId="0" fillId="2" borderId="1" xfId="0" applyFill="1" applyBorder="1" applyAlignment="1" applyProtection="1">
      <alignment/>
      <protection locked="0"/>
    </xf>
    <xf numFmtId="0" fontId="2" fillId="2" borderId="1" xfId="0" applyFont="1" applyFill="1" applyBorder="1" applyAlignment="1" applyProtection="1">
      <alignment/>
      <protection locked="0"/>
    </xf>
    <xf numFmtId="0" fontId="3" fillId="0" borderId="0" xfId="0" applyFont="1" applyAlignment="1" applyProtection="1">
      <alignment/>
      <protection/>
    </xf>
    <xf numFmtId="0" fontId="0" fillId="3" borderId="1" xfId="0" applyFill="1" applyBorder="1" applyAlignment="1" applyProtection="1">
      <alignment/>
      <protection/>
    </xf>
    <xf numFmtId="0" fontId="0" fillId="0" borderId="0" xfId="0" applyBorder="1" applyAlignment="1" applyProtection="1">
      <alignment/>
      <protection/>
    </xf>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xf>
    <xf numFmtId="0" fontId="2" fillId="0" borderId="1" xfId="0" applyFont="1" applyBorder="1" applyAlignment="1" applyProtection="1">
      <alignment horizontal="center" wrapText="1"/>
      <protection/>
    </xf>
    <xf numFmtId="0" fontId="0" fillId="0" borderId="1" xfId="0" applyFont="1" applyBorder="1" applyAlignment="1" applyProtection="1">
      <alignment horizontal="center"/>
      <protection/>
    </xf>
    <xf numFmtId="0" fontId="0" fillId="0" borderId="2" xfId="0" applyFont="1" applyBorder="1" applyAlignment="1" applyProtection="1">
      <alignment horizontal="center"/>
      <protection/>
    </xf>
    <xf numFmtId="0" fontId="2" fillId="0" borderId="1" xfId="0" applyFont="1" applyBorder="1" applyAlignment="1" applyProtection="1">
      <alignment horizontal="left" wrapText="1"/>
      <protection/>
    </xf>
    <xf numFmtId="0" fontId="2" fillId="3" borderId="1" xfId="0" applyFont="1" applyFill="1" applyBorder="1" applyAlignment="1" applyProtection="1">
      <alignment horizontal="left"/>
      <protection/>
    </xf>
    <xf numFmtId="0" fontId="4" fillId="0" borderId="0" xfId="0" applyFont="1" applyAlignment="1" applyProtection="1">
      <alignment horizontal="center"/>
      <protection/>
    </xf>
    <xf numFmtId="0" fontId="3" fillId="0" borderId="3"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0" fillId="0" borderId="1" xfId="0" applyBorder="1" applyAlignment="1" applyProtection="1">
      <alignment horizontal="left" wrapText="1"/>
      <protection/>
    </xf>
    <xf numFmtId="0" fontId="2" fillId="0" borderId="1" xfId="0" applyFont="1" applyBorder="1" applyAlignment="1" applyProtection="1">
      <alignment horizontal="center"/>
      <protection/>
    </xf>
    <xf numFmtId="0" fontId="2" fillId="0" borderId="1" xfId="0" applyFont="1" applyBorder="1" applyAlignment="1" applyProtection="1">
      <alignment horizontal="left"/>
      <protection/>
    </xf>
    <xf numFmtId="0" fontId="0" fillId="0" borderId="1" xfId="0"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0"/>
  <sheetViews>
    <sheetView tabSelected="1" workbookViewId="0" topLeftCell="A1">
      <selection activeCell="E1" sqref="E1"/>
    </sheetView>
  </sheetViews>
  <sheetFormatPr defaultColWidth="9.140625" defaultRowHeight="12.75"/>
  <cols>
    <col min="1" max="1" width="12.28125" style="9" customWidth="1"/>
    <col min="2" max="2" width="22.00390625" style="9" customWidth="1"/>
    <col min="3" max="3" width="14.140625" style="9" customWidth="1"/>
    <col min="4" max="4" width="11.140625" style="9" customWidth="1"/>
    <col min="5" max="7" width="9.140625" style="9" customWidth="1"/>
    <col min="8" max="8" width="16.28125" style="9" customWidth="1"/>
    <col min="9" max="13" width="9.140625" style="9" customWidth="1"/>
    <col min="14" max="14" width="6.7109375" style="9" customWidth="1"/>
    <col min="15" max="20" width="4.421875" style="9" hidden="1" customWidth="1"/>
    <col min="21" max="16384" width="9.140625" style="9" customWidth="1"/>
  </cols>
  <sheetData>
    <row r="1" spans="1:18" ht="12.75">
      <c r="A1" s="34" t="s">
        <v>41</v>
      </c>
      <c r="B1" s="34"/>
      <c r="C1" s="17" t="s">
        <v>12</v>
      </c>
      <c r="D1" s="8"/>
      <c r="E1" s="18"/>
      <c r="P1" s="9" t="s">
        <v>39</v>
      </c>
      <c r="Q1" s="9" t="s">
        <v>16</v>
      </c>
      <c r="R1" s="9" t="s">
        <v>59</v>
      </c>
    </row>
    <row r="2" spans="2:18" ht="12.75">
      <c r="B2" s="10"/>
      <c r="C2" s="10"/>
      <c r="D2" s="10"/>
      <c r="P2" s="9" t="str">
        <f>Sheet1!A2</f>
        <v>PCI</v>
      </c>
      <c r="Q2" s="9" t="str">
        <f>Sheet1!A27</f>
        <v>AC PSIM</v>
      </c>
      <c r="R2" s="9" t="str">
        <f>Sheet1!A34</f>
        <v>Orbit Cable (006869)</v>
      </c>
    </row>
    <row r="3" spans="1:18" s="12" customFormat="1" ht="31.5" customHeight="1">
      <c r="A3" s="11" t="s">
        <v>42</v>
      </c>
      <c r="B3" s="11" t="s">
        <v>75</v>
      </c>
      <c r="C3" s="11" t="s">
        <v>47</v>
      </c>
      <c r="D3" s="11" t="s">
        <v>48</v>
      </c>
      <c r="E3" s="24" t="s">
        <v>21</v>
      </c>
      <c r="F3" s="24"/>
      <c r="G3" s="24"/>
      <c r="H3" s="24"/>
      <c r="I3" s="24"/>
      <c r="J3" s="24"/>
      <c r="P3" s="12" t="str">
        <f>Sheet1!A3</f>
        <v>USB</v>
      </c>
      <c r="Q3" s="9" t="str">
        <f>Sheet1!A28</f>
        <v>DC PSIM</v>
      </c>
      <c r="R3" s="9" t="str">
        <f>Sheet1!A35</f>
        <v>Orbit Cable (804731-xxx)</v>
      </c>
    </row>
    <row r="4" spans="1:17" ht="54.75" customHeight="1">
      <c r="A4" s="13">
        <f>VLOOKUP($C$1,Sheet1!$A$2:$H$9,2,FALSE)</f>
        <v>1000</v>
      </c>
      <c r="B4" s="13" t="str">
        <f>VLOOKUP($C$1,Sheet1!$A$2:$H$9,3,FALSE)</f>
        <v>No</v>
      </c>
      <c r="C4" s="13" t="str">
        <f>VLOOKUP($C$1,Sheet1!$A$2:$H$9,5,FALSE)</f>
        <v>Yes</v>
      </c>
      <c r="D4" s="13" t="str">
        <f>VLOOKUP($C$1,Sheet1!$A$2:$H$9,6,FALSE)</f>
        <v>Yes</v>
      </c>
      <c r="E4" s="35" t="str">
        <f>VLOOKUP($C$1,Sheet1!$A$2:$H$9,4,FALSE)</f>
        <v>Though the PCI Card can supply up to 31 probes that is only if the computer is build to the pci specifications correctly with regards power therefore we recommend people only draw 1000mA from the card to ensure it works correctly</v>
      </c>
      <c r="F4" s="35"/>
      <c r="G4" s="35"/>
      <c r="H4" s="35"/>
      <c r="I4" s="35"/>
      <c r="J4" s="35"/>
      <c r="P4" s="9" t="str">
        <f>Sheet1!A4</f>
        <v>RS232</v>
      </c>
      <c r="Q4" s="9" t="str">
        <f>Sheet1!A29</f>
        <v>5V PSIM</v>
      </c>
    </row>
    <row r="6" spans="1:3" ht="12.75">
      <c r="A6" s="34" t="s">
        <v>49</v>
      </c>
      <c r="B6" s="34"/>
      <c r="C6" s="16" t="s">
        <v>51</v>
      </c>
    </row>
    <row r="7" spans="1:10" ht="28.5" customHeight="1">
      <c r="A7" s="14" t="s">
        <v>5</v>
      </c>
      <c r="B7" s="11" t="s">
        <v>19</v>
      </c>
      <c r="C7" s="14" t="s">
        <v>53</v>
      </c>
      <c r="E7" s="29" t="s">
        <v>79</v>
      </c>
      <c r="F7" s="29"/>
      <c r="G7" s="29"/>
      <c r="H7" s="29"/>
      <c r="I7" s="29"/>
      <c r="J7" s="29"/>
    </row>
    <row r="8" spans="1:3" ht="12.75">
      <c r="A8" s="13">
        <f>VLOOKUP($C$6,Sheet1!$A$27:$D$28,2,FALSE)</f>
        <v>1600</v>
      </c>
      <c r="B8" s="13">
        <f>VLOOKUP($C$6,Sheet1!$A$27:$D$28,3,FALSE)</f>
        <v>145.2</v>
      </c>
      <c r="C8" s="13">
        <f>VLOOKUP($C$6,Sheet1!$A$27:$D$28,4,FALSE)</f>
        <v>5.2</v>
      </c>
    </row>
    <row r="10" ht="12.75">
      <c r="A10" s="8" t="s">
        <v>54</v>
      </c>
    </row>
    <row r="11" spans="1:7" s="12" customFormat="1" ht="27" customHeight="1">
      <c r="A11" s="24" t="s">
        <v>55</v>
      </c>
      <c r="B11" s="24"/>
      <c r="C11" s="11" t="s">
        <v>56</v>
      </c>
      <c r="D11" s="24" t="s">
        <v>57</v>
      </c>
      <c r="E11" s="24"/>
      <c r="F11" s="24" t="s">
        <v>58</v>
      </c>
      <c r="G11" s="24"/>
    </row>
    <row r="12" spans="1:16" ht="12.75">
      <c r="A12" s="32" t="str">
        <f>Sheet1!A12</f>
        <v>DIOM</v>
      </c>
      <c r="B12" s="32"/>
      <c r="C12" s="16">
        <v>0</v>
      </c>
      <c r="D12" s="23">
        <f>Sheet1!G12</f>
        <v>53.7</v>
      </c>
      <c r="E12" s="23"/>
      <c r="F12" s="23">
        <f aca="true" t="shared" si="0" ref="F12:F17">D12*C12</f>
        <v>0</v>
      </c>
      <c r="G12" s="23"/>
      <c r="P12" s="9" t="s">
        <v>63</v>
      </c>
    </row>
    <row r="13" spans="1:16" ht="12.75">
      <c r="A13" s="32" t="str">
        <f>Sheet1!A13</f>
        <v>EIM</v>
      </c>
      <c r="B13" s="32"/>
      <c r="C13" s="16">
        <v>0</v>
      </c>
      <c r="D13" s="23">
        <f>Sheet1!G13</f>
        <v>79.3</v>
      </c>
      <c r="E13" s="23"/>
      <c r="F13" s="23">
        <f t="shared" si="0"/>
        <v>0</v>
      </c>
      <c r="G13" s="23"/>
      <c r="P13" s="9">
        <f>IF(VLOOKUP($C$1,Sheet1!$A$2:$F$9,3,FALSE)="Yes",C8,VLOOKUP(C1,Sheet1!A2:G9,7,FALSE))</f>
        <v>5.1</v>
      </c>
    </row>
    <row r="14" spans="1:7" ht="12.75">
      <c r="A14" s="32" t="str">
        <f>Sheet1!A14</f>
        <v>DP (Includes all displacement modules)</v>
      </c>
      <c r="B14" s="32"/>
      <c r="C14" s="16">
        <v>0</v>
      </c>
      <c r="D14" s="23">
        <f>Sheet1!G14</f>
        <v>59</v>
      </c>
      <c r="E14" s="23"/>
      <c r="F14" s="23">
        <f t="shared" si="0"/>
        <v>0</v>
      </c>
      <c r="G14" s="23"/>
    </row>
    <row r="15" spans="1:16" ht="12.75">
      <c r="A15" s="32" t="str">
        <f>Sheet1!A15</f>
        <v>DIM</v>
      </c>
      <c r="B15" s="32"/>
      <c r="C15" s="16">
        <v>0</v>
      </c>
      <c r="D15" s="23">
        <f>Sheet1!G15</f>
        <v>40.3</v>
      </c>
      <c r="E15" s="23"/>
      <c r="F15" s="23">
        <f t="shared" si="0"/>
        <v>0</v>
      </c>
      <c r="G15" s="23"/>
      <c r="P15" s="9" t="s">
        <v>67</v>
      </c>
    </row>
    <row r="16" spans="1:17" ht="12.75">
      <c r="A16" s="32" t="str">
        <f>Sheet1!A16</f>
        <v>AIM - PT100</v>
      </c>
      <c r="B16" s="32"/>
      <c r="C16" s="16">
        <v>0</v>
      </c>
      <c r="D16" s="23">
        <f>Sheet1!G16</f>
        <v>73.6</v>
      </c>
      <c r="E16" s="23"/>
      <c r="F16" s="23">
        <f t="shared" si="0"/>
        <v>0</v>
      </c>
      <c r="G16" s="23"/>
      <c r="P16" s="13">
        <f>(4.75/((4.75/($P$13-4.75))*$C$28))*1000</f>
        <v>2187.4999999999973</v>
      </c>
      <c r="Q16" s="9">
        <f>IF(B4="Yes",Requirements!A8,Requirements!A4)</f>
        <v>1000</v>
      </c>
    </row>
    <row r="17" spans="1:16" ht="12.75">
      <c r="A17" s="32" t="str">
        <f>Sheet1!A17</f>
        <v>AIM 4-20 mA</v>
      </c>
      <c r="B17" s="32"/>
      <c r="C17" s="16">
        <v>0</v>
      </c>
      <c r="D17" s="23">
        <f>Sheet1!G17</f>
        <v>154</v>
      </c>
      <c r="E17" s="23"/>
      <c r="F17" s="23">
        <f t="shared" si="0"/>
        <v>0</v>
      </c>
      <c r="G17" s="23"/>
      <c r="P17" s="9">
        <f>IF(P16&gt;Q16,Q16,P16)</f>
        <v>1000</v>
      </c>
    </row>
    <row r="18" spans="1:7" ht="12.75">
      <c r="A18" s="32" t="str">
        <f>Sheet1!A18</f>
        <v>AIM Voltage</v>
      </c>
      <c r="B18" s="32"/>
      <c r="C18" s="16">
        <v>0</v>
      </c>
      <c r="D18" s="23">
        <f>Sheet1!G18</f>
        <v>77.8</v>
      </c>
      <c r="E18" s="23"/>
      <c r="F18" s="23">
        <f>D18*C18</f>
        <v>0</v>
      </c>
      <c r="G18" s="23"/>
    </row>
    <row r="19" spans="1:7" ht="12.75">
      <c r="A19" s="32" t="str">
        <f>Sheet1!A19</f>
        <v>Happy Light</v>
      </c>
      <c r="B19" s="32"/>
      <c r="C19" s="16">
        <v>0</v>
      </c>
      <c r="D19" s="23">
        <f>Sheet1!G19</f>
        <v>8.1</v>
      </c>
      <c r="E19" s="23"/>
      <c r="F19" s="23">
        <f>D19*C19</f>
        <v>0</v>
      </c>
      <c r="G19" s="23"/>
    </row>
    <row r="20" spans="1:16" ht="12.75">
      <c r="A20" s="32" t="str">
        <f>Sheet1!A20</f>
        <v>LE-EIM</v>
      </c>
      <c r="B20" s="32"/>
      <c r="C20" s="16">
        <v>0</v>
      </c>
      <c r="D20" s="23">
        <f>Sheet1!G20</f>
        <v>134.4</v>
      </c>
      <c r="E20" s="23"/>
      <c r="F20" s="23">
        <f>D20*C20</f>
        <v>0</v>
      </c>
      <c r="G20" s="23"/>
      <c r="P20" s="9" t="s">
        <v>69</v>
      </c>
    </row>
    <row r="21" spans="1:17" ht="12.75">
      <c r="A21" s="32" t="str">
        <f>Sheet1!A21</f>
        <v>LE</v>
      </c>
      <c r="B21" s="32"/>
      <c r="C21" s="16">
        <v>0</v>
      </c>
      <c r="D21" s="23">
        <f>Sheet1!G21</f>
        <v>41.6</v>
      </c>
      <c r="E21" s="23"/>
      <c r="F21" s="23">
        <f>D21*C21</f>
        <v>0</v>
      </c>
      <c r="G21" s="23"/>
      <c r="P21" s="9">
        <f>IF(B4="Yes",1,0)</f>
        <v>0</v>
      </c>
      <c r="Q21" s="9">
        <f>IF(F24&gt;I26,(F24-I26)/A8,0)</f>
        <v>0</v>
      </c>
    </row>
    <row r="22" spans="1:7" ht="12.75" hidden="1">
      <c r="A22" s="13"/>
      <c r="B22" s="13"/>
      <c r="C22" s="13"/>
      <c r="D22" s="13"/>
      <c r="E22" s="13"/>
      <c r="F22" s="13"/>
      <c r="G22" s="13"/>
    </row>
    <row r="23" spans="1:7" ht="12.75" hidden="1">
      <c r="A23" s="13"/>
      <c r="B23" s="13"/>
      <c r="C23" s="13"/>
      <c r="D23" s="13"/>
      <c r="E23" s="13"/>
      <c r="F23" s="13"/>
      <c r="G23" s="13"/>
    </row>
    <row r="24" spans="1:16" ht="12.75">
      <c r="A24" s="34" t="s">
        <v>71</v>
      </c>
      <c r="B24" s="34"/>
      <c r="C24" s="14">
        <f>SUM(C12:C21)</f>
        <v>0</v>
      </c>
      <c r="D24" s="33" t="s">
        <v>64</v>
      </c>
      <c r="E24" s="33"/>
      <c r="F24" s="33">
        <f>SUM(F12:F21)-IF(B4="Yes",A4,0)</f>
        <v>0</v>
      </c>
      <c r="G24" s="33"/>
      <c r="P24" s="9">
        <f>P21+(ROUNDUP(Q21,0))</f>
        <v>0</v>
      </c>
    </row>
    <row r="26" spans="1:11" ht="12.75" customHeight="1">
      <c r="A26" s="34" t="s">
        <v>60</v>
      </c>
      <c r="B26" s="34"/>
      <c r="C26" s="21" t="s">
        <v>76</v>
      </c>
      <c r="D26" s="21"/>
      <c r="E26" s="13"/>
      <c r="F26" s="27" t="s">
        <v>70</v>
      </c>
      <c r="G26" s="27"/>
      <c r="H26" s="27"/>
      <c r="I26" s="23">
        <f>P17</f>
        <v>1000</v>
      </c>
      <c r="J26" s="25" t="str">
        <f>"mA "&amp;IF(B4="Yes","(From PSIM)","")</f>
        <v>mA </v>
      </c>
      <c r="K26" s="25"/>
    </row>
    <row r="27" spans="1:11" ht="12.75">
      <c r="A27" s="34" t="s">
        <v>61</v>
      </c>
      <c r="B27" s="34"/>
      <c r="C27" s="22">
        <v>10</v>
      </c>
      <c r="D27" s="22"/>
      <c r="E27" s="13" t="s">
        <v>66</v>
      </c>
      <c r="F27" s="27"/>
      <c r="G27" s="27"/>
      <c r="H27" s="27"/>
      <c r="I27" s="23"/>
      <c r="J27" s="26"/>
      <c r="K27" s="26"/>
    </row>
    <row r="28" spans="1:11" ht="12.75">
      <c r="A28" s="34" t="s">
        <v>62</v>
      </c>
      <c r="B28" s="34"/>
      <c r="C28" s="23">
        <f>C27*VLOOKUP(C26,Sheet1!A34:B35,2,FALSE)</f>
        <v>0.16</v>
      </c>
      <c r="D28" s="23"/>
      <c r="E28" s="13" t="s">
        <v>65</v>
      </c>
      <c r="F28" s="28" t="s">
        <v>68</v>
      </c>
      <c r="G28" s="28"/>
      <c r="H28" s="28"/>
      <c r="I28" s="19">
        <f>P24</f>
        <v>0</v>
      </c>
      <c r="J28" s="20"/>
      <c r="K28" s="20"/>
    </row>
    <row r="29" spans="1:11" ht="12.75" customHeight="1">
      <c r="A29" s="15"/>
      <c r="B29" s="15"/>
      <c r="F29" s="30" t="s">
        <v>78</v>
      </c>
      <c r="G29" s="30"/>
      <c r="H29" s="30"/>
      <c r="I29" s="30"/>
      <c r="J29" s="31"/>
      <c r="K29" s="31"/>
    </row>
    <row r="30" spans="6:11" ht="12.75">
      <c r="F30" s="31"/>
      <c r="G30" s="31"/>
      <c r="H30" s="31"/>
      <c r="I30" s="31"/>
      <c r="J30" s="31"/>
      <c r="K30" s="31"/>
    </row>
  </sheetData>
  <sheetProtection sheet="1" objects="1" scenarios="1"/>
  <mergeCells count="52">
    <mergeCell ref="E4:J4"/>
    <mergeCell ref="A6:B6"/>
    <mergeCell ref="A1:B1"/>
    <mergeCell ref="A26:B26"/>
    <mergeCell ref="F11:G11"/>
    <mergeCell ref="D18:E18"/>
    <mergeCell ref="D19:E19"/>
    <mergeCell ref="D20:E20"/>
    <mergeCell ref="D21:E21"/>
    <mergeCell ref="D24:E24"/>
    <mergeCell ref="D14:E14"/>
    <mergeCell ref="D15:E15"/>
    <mergeCell ref="D16:E16"/>
    <mergeCell ref="D17:E17"/>
    <mergeCell ref="A11:B11"/>
    <mergeCell ref="D11:E11"/>
    <mergeCell ref="D12:E12"/>
    <mergeCell ref="D13:E13"/>
    <mergeCell ref="A12:B12"/>
    <mergeCell ref="A19:B19"/>
    <mergeCell ref="A18:B18"/>
    <mergeCell ref="A17:B17"/>
    <mergeCell ref="A16:B16"/>
    <mergeCell ref="F29:K30"/>
    <mergeCell ref="A15:B15"/>
    <mergeCell ref="A14:B14"/>
    <mergeCell ref="A13:B13"/>
    <mergeCell ref="F24:G24"/>
    <mergeCell ref="A24:B24"/>
    <mergeCell ref="A21:B21"/>
    <mergeCell ref="A20:B20"/>
    <mergeCell ref="A27:B27"/>
    <mergeCell ref="A28:B28"/>
    <mergeCell ref="F16:G16"/>
    <mergeCell ref="F17:G17"/>
    <mergeCell ref="F21:G21"/>
    <mergeCell ref="F20:G20"/>
    <mergeCell ref="F19:G19"/>
    <mergeCell ref="F12:G12"/>
    <mergeCell ref="F13:G13"/>
    <mergeCell ref="F14:G14"/>
    <mergeCell ref="F15:G15"/>
    <mergeCell ref="C26:D26"/>
    <mergeCell ref="C27:D27"/>
    <mergeCell ref="C28:D28"/>
    <mergeCell ref="E3:J3"/>
    <mergeCell ref="I26:I27"/>
    <mergeCell ref="J26:K27"/>
    <mergeCell ref="F26:H27"/>
    <mergeCell ref="F28:H28"/>
    <mergeCell ref="E7:J7"/>
    <mergeCell ref="F18:G18"/>
  </mergeCells>
  <dataValidations count="3">
    <dataValidation type="list" allowBlank="1" showInputMessage="1" showErrorMessage="1" sqref="C1:D1">
      <formula1>$P$2:$P$4</formula1>
    </dataValidation>
    <dataValidation type="list" allowBlank="1" showInputMessage="1" showErrorMessage="1" sqref="C6">
      <formula1>$Q$2:$Q$3</formula1>
    </dataValidation>
    <dataValidation type="list" allowBlank="1" showInputMessage="1" showErrorMessage="1" sqref="C26">
      <formula1>$R$2:$R$3</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V41"/>
  <sheetViews>
    <sheetView workbookViewId="0" topLeftCell="A1">
      <selection activeCell="A35" sqref="A35"/>
    </sheetView>
  </sheetViews>
  <sheetFormatPr defaultColWidth="9.140625" defaultRowHeight="12.75"/>
  <cols>
    <col min="1" max="1" width="18.57421875" style="0" customWidth="1"/>
    <col min="5" max="5" width="11.00390625" style="0" customWidth="1"/>
    <col min="6" max="6" width="13.57421875" style="0" customWidth="1"/>
    <col min="7" max="7" width="15.140625" style="0" customWidth="1"/>
    <col min="9" max="9" width="18.7109375" style="0" customWidth="1"/>
    <col min="10" max="10" width="23.421875" style="0" customWidth="1"/>
    <col min="11" max="11" width="19.421875" style="0" customWidth="1"/>
    <col min="13" max="13" width="18.57421875" style="0" customWidth="1"/>
    <col min="19" max="19" width="10.28125" style="0" customWidth="1"/>
    <col min="20" max="20" width="6.28125" style="0" customWidth="1"/>
    <col min="22" max="22" width="16.28125" style="0" customWidth="1"/>
  </cols>
  <sheetData>
    <row r="1" spans="1:6" ht="25.5">
      <c r="A1" s="4" t="s">
        <v>11</v>
      </c>
      <c r="B1" s="1" t="s">
        <v>5</v>
      </c>
      <c r="C1" s="1" t="s">
        <v>43</v>
      </c>
      <c r="D1" s="1" t="s">
        <v>21</v>
      </c>
      <c r="E1" s="1" t="s">
        <v>47</v>
      </c>
      <c r="F1" s="1" t="s">
        <v>48</v>
      </c>
    </row>
    <row r="2" spans="1:256" ht="12.75">
      <c r="A2" t="s">
        <v>12</v>
      </c>
      <c r="B2">
        <v>1000</v>
      </c>
      <c r="C2" t="s">
        <v>45</v>
      </c>
      <c r="D2" s="6" t="s">
        <v>77</v>
      </c>
      <c r="E2" s="6" t="s">
        <v>44</v>
      </c>
      <c r="F2" s="6" t="s">
        <v>44</v>
      </c>
      <c r="G2" s="6">
        <v>5.1</v>
      </c>
      <c r="H2" s="6"/>
      <c r="IV2" s="6"/>
    </row>
    <row r="3" spans="1:8" ht="12.75">
      <c r="A3" t="s">
        <v>13</v>
      </c>
      <c r="B3">
        <v>200</v>
      </c>
      <c r="C3" t="s">
        <v>45</v>
      </c>
      <c r="D3" s="7" t="s">
        <v>46</v>
      </c>
      <c r="E3" s="6" t="s">
        <v>45</v>
      </c>
      <c r="F3" s="6" t="s">
        <v>45</v>
      </c>
      <c r="G3" s="6">
        <v>5.05</v>
      </c>
      <c r="H3" s="6"/>
    </row>
    <row r="4" spans="1:8" ht="12.75">
      <c r="A4" t="s">
        <v>14</v>
      </c>
      <c r="B4">
        <v>-65.5</v>
      </c>
      <c r="C4" t="s">
        <v>44</v>
      </c>
      <c r="D4" s="6" t="s">
        <v>40</v>
      </c>
      <c r="E4" s="6" t="s">
        <v>45</v>
      </c>
      <c r="F4" s="6" t="s">
        <v>45</v>
      </c>
      <c r="G4" s="6">
        <v>0</v>
      </c>
      <c r="H4" s="6"/>
    </row>
    <row r="5" spans="4:8" ht="12.75">
      <c r="D5" s="6"/>
      <c r="E5" s="6"/>
      <c r="F5" s="6"/>
      <c r="G5" s="6"/>
      <c r="H5" s="6"/>
    </row>
    <row r="6" spans="4:8" ht="12.75">
      <c r="D6" s="6"/>
      <c r="E6" s="6"/>
      <c r="F6" s="6"/>
      <c r="G6" s="6"/>
      <c r="H6" s="6"/>
    </row>
    <row r="7" spans="4:8" ht="12.75">
      <c r="D7" s="6"/>
      <c r="E7" s="6"/>
      <c r="F7" s="6"/>
      <c r="G7" s="6"/>
      <c r="H7" s="6"/>
    </row>
    <row r="8" spans="4:8" ht="12.75">
      <c r="D8" s="6"/>
      <c r="E8" s="6"/>
      <c r="F8" s="6"/>
      <c r="G8" s="6"/>
      <c r="H8" s="6"/>
    </row>
    <row r="9" ht="12.75">
      <c r="D9" s="5"/>
    </row>
    <row r="11" spans="1:10" s="1" customFormat="1" ht="24" customHeight="1">
      <c r="A11" s="1" t="s">
        <v>0</v>
      </c>
      <c r="B11" s="1" t="s">
        <v>1</v>
      </c>
      <c r="D11" s="1" t="s">
        <v>3</v>
      </c>
      <c r="E11" s="1" t="s">
        <v>4</v>
      </c>
      <c r="F11" s="1" t="s">
        <v>8</v>
      </c>
      <c r="G11" s="1" t="s">
        <v>9</v>
      </c>
      <c r="H11" s="1" t="s">
        <v>7</v>
      </c>
      <c r="I11" s="1" t="s">
        <v>6</v>
      </c>
      <c r="J11" s="1" t="s">
        <v>22</v>
      </c>
    </row>
    <row r="12" spans="1:10" ht="12.75">
      <c r="A12" t="s">
        <v>2</v>
      </c>
      <c r="B12">
        <v>5.1</v>
      </c>
      <c r="D12">
        <v>28.3</v>
      </c>
      <c r="E12">
        <v>41.3</v>
      </c>
      <c r="F12">
        <v>40.2</v>
      </c>
      <c r="G12">
        <v>53.7</v>
      </c>
      <c r="H12">
        <f>D12+(50*8)</f>
        <v>428.3</v>
      </c>
      <c r="I12">
        <f>E12+(50*8)</f>
        <v>441.3</v>
      </c>
      <c r="J12" t="s">
        <v>23</v>
      </c>
    </row>
    <row r="13" spans="1:10" ht="12.75">
      <c r="A13" t="s">
        <v>10</v>
      </c>
      <c r="B13">
        <v>5.1</v>
      </c>
      <c r="D13">
        <v>34.2</v>
      </c>
      <c r="E13">
        <v>49</v>
      </c>
      <c r="F13">
        <v>64.6</v>
      </c>
      <c r="G13">
        <v>79.3</v>
      </c>
      <c r="H13">
        <f>D13+1000</f>
        <v>1034.2</v>
      </c>
      <c r="I13">
        <f>E13+1000</f>
        <v>1049</v>
      </c>
      <c r="J13" t="s">
        <v>24</v>
      </c>
    </row>
    <row r="14" spans="1:9" ht="12.75">
      <c r="A14" t="s">
        <v>72</v>
      </c>
      <c r="B14">
        <v>5.1</v>
      </c>
      <c r="D14">
        <v>46</v>
      </c>
      <c r="E14">
        <v>59</v>
      </c>
      <c r="F14">
        <v>46</v>
      </c>
      <c r="G14">
        <v>59</v>
      </c>
      <c r="H14">
        <v>46</v>
      </c>
      <c r="I14">
        <v>59</v>
      </c>
    </row>
    <row r="15" spans="1:10" ht="12.75">
      <c r="A15" t="s">
        <v>15</v>
      </c>
      <c r="B15">
        <v>5.1</v>
      </c>
      <c r="D15">
        <v>25.8</v>
      </c>
      <c r="E15">
        <v>39.5</v>
      </c>
      <c r="F15">
        <v>25.9</v>
      </c>
      <c r="G15">
        <v>40.3</v>
      </c>
      <c r="H15">
        <v>25.9</v>
      </c>
      <c r="I15">
        <v>40.3</v>
      </c>
      <c r="J15" t="s">
        <v>25</v>
      </c>
    </row>
    <row r="16" spans="1:9" ht="12.75">
      <c r="A16" t="s">
        <v>26</v>
      </c>
      <c r="B16">
        <v>5.1</v>
      </c>
      <c r="D16">
        <v>69.1</v>
      </c>
      <c r="E16">
        <v>73.6</v>
      </c>
      <c r="F16">
        <v>69.1</v>
      </c>
      <c r="G16">
        <v>73.6</v>
      </c>
      <c r="H16">
        <v>69.1</v>
      </c>
      <c r="I16">
        <v>73.6</v>
      </c>
    </row>
    <row r="17" spans="1:9" ht="12.75">
      <c r="A17" t="s">
        <v>27</v>
      </c>
      <c r="B17">
        <v>5.1</v>
      </c>
      <c r="D17">
        <v>70.3</v>
      </c>
      <c r="E17">
        <v>75.2</v>
      </c>
      <c r="F17">
        <v>142.7</v>
      </c>
      <c r="G17">
        <v>154</v>
      </c>
      <c r="H17">
        <v>142.7</v>
      </c>
      <c r="I17">
        <v>154</v>
      </c>
    </row>
    <row r="18" spans="1:9" ht="12.75">
      <c r="A18" t="s">
        <v>28</v>
      </c>
      <c r="B18">
        <v>5.1</v>
      </c>
      <c r="D18">
        <v>68.5</v>
      </c>
      <c r="E18">
        <v>77.8</v>
      </c>
      <c r="F18">
        <v>68.5</v>
      </c>
      <c r="G18">
        <v>77.8</v>
      </c>
      <c r="H18">
        <v>68.5</v>
      </c>
      <c r="I18">
        <v>77.8</v>
      </c>
    </row>
    <row r="19" spans="1:9" ht="12.75">
      <c r="A19" t="s">
        <v>38</v>
      </c>
      <c r="B19">
        <v>5.1</v>
      </c>
      <c r="D19">
        <v>8.1</v>
      </c>
      <c r="E19">
        <v>8.1</v>
      </c>
      <c r="F19">
        <v>8.1</v>
      </c>
      <c r="G19">
        <v>8.1</v>
      </c>
      <c r="H19">
        <v>8.1</v>
      </c>
      <c r="I19">
        <v>8.1</v>
      </c>
    </row>
    <row r="20" spans="1:9" ht="12.75">
      <c r="A20" t="s">
        <v>73</v>
      </c>
      <c r="B20">
        <v>5.1</v>
      </c>
      <c r="D20">
        <v>134.4</v>
      </c>
      <c r="E20">
        <v>134.4</v>
      </c>
      <c r="F20">
        <v>134.4</v>
      </c>
      <c r="G20">
        <v>134.4</v>
      </c>
      <c r="H20">
        <v>134.4</v>
      </c>
      <c r="I20">
        <v>134.4</v>
      </c>
    </row>
    <row r="21" spans="1:9" ht="12.75">
      <c r="A21" t="s">
        <v>74</v>
      </c>
      <c r="B21">
        <v>5.1</v>
      </c>
      <c r="D21">
        <v>40</v>
      </c>
      <c r="E21">
        <v>41.6</v>
      </c>
      <c r="F21">
        <v>40</v>
      </c>
      <c r="G21">
        <v>41.6</v>
      </c>
      <c r="H21">
        <v>40</v>
      </c>
      <c r="I21">
        <v>41.6</v>
      </c>
    </row>
    <row r="26" spans="1:4" ht="38.25">
      <c r="A26" s="1" t="s">
        <v>16</v>
      </c>
      <c r="B26" s="1" t="s">
        <v>5</v>
      </c>
      <c r="C26" s="1" t="s">
        <v>19</v>
      </c>
      <c r="D26" s="1" t="s">
        <v>20</v>
      </c>
    </row>
    <row r="27" spans="1:4" ht="12.75">
      <c r="A27" t="s">
        <v>51</v>
      </c>
      <c r="B27">
        <v>1600</v>
      </c>
      <c r="C27">
        <v>145.2</v>
      </c>
      <c r="D27">
        <v>5.2</v>
      </c>
    </row>
    <row r="28" spans="1:4" ht="12.75">
      <c r="A28" t="s">
        <v>52</v>
      </c>
      <c r="B28">
        <v>1600</v>
      </c>
      <c r="C28">
        <v>66.1</v>
      </c>
      <c r="D28">
        <f>5.14*(1+U45/100)</f>
        <v>5.14</v>
      </c>
    </row>
    <row r="29" spans="1:4" ht="12.75">
      <c r="A29" t="s">
        <v>50</v>
      </c>
      <c r="B29">
        <v>1000</v>
      </c>
      <c r="C29">
        <v>327</v>
      </c>
      <c r="D29">
        <v>5</v>
      </c>
    </row>
    <row r="33" spans="1:2" ht="12.75">
      <c r="A33" s="1" t="s">
        <v>17</v>
      </c>
      <c r="B33" s="1" t="s">
        <v>18</v>
      </c>
    </row>
    <row r="34" spans="1:2" ht="12.75">
      <c r="A34" t="s">
        <v>80</v>
      </c>
      <c r="B34">
        <v>0.1</v>
      </c>
    </row>
    <row r="35" spans="1:2" ht="12.75">
      <c r="A35" t="s">
        <v>76</v>
      </c>
      <c r="B35">
        <v>0.016</v>
      </c>
    </row>
    <row r="40" spans="1:11" s="1" customFormat="1" ht="38.25">
      <c r="A40" s="3" t="s">
        <v>32</v>
      </c>
      <c r="B40" s="3" t="s">
        <v>29</v>
      </c>
      <c r="C40" s="3"/>
      <c r="E40" s="1" t="s">
        <v>31</v>
      </c>
      <c r="F40" s="1" t="s">
        <v>35</v>
      </c>
      <c r="G40" s="3" t="s">
        <v>33</v>
      </c>
      <c r="H40" s="3" t="s">
        <v>34</v>
      </c>
      <c r="I40" s="1" t="s">
        <v>30</v>
      </c>
      <c r="J40" s="1" t="s">
        <v>36</v>
      </c>
      <c r="K40" s="1" t="s">
        <v>37</v>
      </c>
    </row>
    <row r="41" spans="1:11" ht="12.75">
      <c r="A41" s="2">
        <v>100</v>
      </c>
      <c r="B41" s="2">
        <v>5.1</v>
      </c>
      <c r="C41" s="2"/>
      <c r="E41">
        <v>4.75</v>
      </c>
      <c r="F41">
        <f>E41/A41</f>
        <v>0.0475</v>
      </c>
      <c r="G41" s="2">
        <f>B35</f>
        <v>0.016</v>
      </c>
      <c r="H41" s="2">
        <v>10</v>
      </c>
      <c r="I41">
        <f>H41*G41</f>
        <v>0.16</v>
      </c>
      <c r="J41">
        <f>((I41*E41)/(B41-E41))</f>
        <v>2.1714285714285735</v>
      </c>
      <c r="K41">
        <f>E41/J41</f>
        <v>2.187499999999998</v>
      </c>
    </row>
  </sheetData>
  <sheetProtection sheet="1" objects="1" scenarios="1"/>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Solartron Metrology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gallen</dc:creator>
  <cp:keywords/>
  <dc:description/>
  <cp:lastModifiedBy>gallen</cp:lastModifiedBy>
  <cp:lastPrinted>2010-01-28T10:49:45Z</cp:lastPrinted>
  <dcterms:created xsi:type="dcterms:W3CDTF">2010-01-27T16:13:39Z</dcterms:created>
  <dcterms:modified xsi:type="dcterms:W3CDTF">2010-01-28T17:07:59Z</dcterms:modified>
  <cp:category/>
  <cp:version/>
  <cp:contentType/>
  <cp:contentStatus/>
</cp:coreProperties>
</file>